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85" yWindow="315" windowWidth="24405" windowHeight="15480"/>
  </bookViews>
  <sheets>
    <sheet name="Richer Model" sheetId="1" r:id="rId1"/>
    <sheet name="Parameters" sheetId="3" r:id="rId2"/>
  </sheets>
  <calcPr calcId="1456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K4" i="1"/>
  <c r="K9" i="1"/>
  <c r="K8" i="1"/>
  <c r="K41" i="1"/>
  <c r="L4" i="1"/>
  <c r="K30" i="1"/>
  <c r="K32" i="1"/>
  <c r="L30" i="1"/>
  <c r="L32" i="1"/>
  <c r="L41" i="1"/>
  <c r="M30" i="1"/>
  <c r="M32" i="1"/>
  <c r="M41" i="1"/>
  <c r="N30" i="1"/>
  <c r="N32" i="1"/>
  <c r="N41" i="1"/>
  <c r="H30" i="1"/>
  <c r="H32" i="1"/>
  <c r="G9" i="1"/>
  <c r="G8" i="1"/>
  <c r="G41" i="1"/>
  <c r="H41" i="1"/>
  <c r="G30" i="1"/>
  <c r="G32" i="1"/>
  <c r="I30" i="1"/>
  <c r="I32" i="1"/>
  <c r="I41" i="1"/>
  <c r="J30" i="1"/>
  <c r="J32" i="1"/>
  <c r="J41" i="1"/>
  <c r="G26" i="1"/>
  <c r="H38" i="1"/>
  <c r="G38" i="1"/>
  <c r="I26" i="1"/>
  <c r="I38" i="1"/>
  <c r="J38" i="1"/>
  <c r="K26" i="1"/>
  <c r="K38" i="1"/>
  <c r="L38" i="1"/>
  <c r="M26" i="1"/>
  <c r="M38" i="1"/>
  <c r="N38" i="1"/>
  <c r="L7" i="1"/>
  <c r="K7" i="1"/>
  <c r="N9" i="1"/>
  <c r="N8" i="1"/>
  <c r="L8" i="1"/>
  <c r="C10" i="1"/>
  <c r="C11" i="1"/>
  <c r="D38" i="1"/>
  <c r="L9" i="1"/>
  <c r="C41" i="1"/>
  <c r="G7" i="1"/>
  <c r="K11" i="1"/>
  <c r="G11" i="1"/>
  <c r="G17" i="1"/>
  <c r="G18" i="1"/>
  <c r="G22" i="1"/>
  <c r="G23" i="1"/>
  <c r="I22" i="1"/>
  <c r="I23" i="1"/>
  <c r="G24" i="1"/>
  <c r="G31" i="1"/>
  <c r="G33" i="1"/>
  <c r="G34" i="1"/>
  <c r="H31" i="1"/>
  <c r="H33" i="1"/>
  <c r="H34" i="1"/>
  <c r="I24" i="1"/>
  <c r="I31" i="1"/>
  <c r="I33" i="1"/>
  <c r="I34" i="1"/>
  <c r="J31" i="1"/>
  <c r="J33" i="1"/>
  <c r="J34" i="1"/>
  <c r="G35" i="1"/>
  <c r="H35" i="1"/>
  <c r="I35" i="1"/>
  <c r="J35" i="1"/>
  <c r="G42" i="1"/>
  <c r="H42" i="1"/>
  <c r="H43" i="1"/>
  <c r="H44" i="1"/>
  <c r="H45" i="1"/>
  <c r="H36" i="1"/>
  <c r="H46" i="1"/>
  <c r="I42" i="1"/>
  <c r="I43" i="1"/>
  <c r="I44" i="1"/>
  <c r="I45" i="1"/>
  <c r="I36" i="1"/>
  <c r="I46" i="1"/>
  <c r="J42" i="1"/>
  <c r="J43" i="1"/>
  <c r="J44" i="1"/>
  <c r="J45" i="1"/>
  <c r="J36" i="1"/>
  <c r="J46" i="1"/>
  <c r="G43" i="1"/>
  <c r="G44" i="1"/>
  <c r="G45" i="1"/>
  <c r="G36" i="1"/>
  <c r="G46" i="1"/>
  <c r="L11" i="1"/>
  <c r="L14" i="1"/>
  <c r="K17" i="1"/>
  <c r="K18" i="1"/>
  <c r="K22" i="1"/>
  <c r="K23" i="1"/>
  <c r="K24" i="1"/>
  <c r="K31" i="1"/>
  <c r="K33" i="1"/>
  <c r="K34" i="1"/>
  <c r="K35" i="1"/>
  <c r="K36" i="1"/>
  <c r="L31" i="1"/>
  <c r="L33" i="1"/>
  <c r="L34" i="1"/>
  <c r="L35" i="1"/>
  <c r="L36" i="1"/>
  <c r="M22" i="1"/>
  <c r="M23" i="1"/>
  <c r="M24" i="1"/>
  <c r="M31" i="1"/>
  <c r="M33" i="1"/>
  <c r="M34" i="1"/>
  <c r="M35" i="1"/>
  <c r="M36" i="1"/>
  <c r="N31" i="1"/>
  <c r="N33" i="1"/>
  <c r="N34" i="1"/>
  <c r="N35" i="1"/>
  <c r="N36" i="1"/>
  <c r="P36" i="1"/>
  <c r="K42" i="1"/>
  <c r="K43" i="1"/>
  <c r="K44" i="1"/>
  <c r="K45" i="1"/>
  <c r="L42" i="1"/>
  <c r="L43" i="1"/>
  <c r="L44" i="1"/>
  <c r="L45" i="1"/>
  <c r="M42" i="1"/>
  <c r="M43" i="1"/>
  <c r="M44" i="1"/>
  <c r="M45" i="1"/>
  <c r="N42" i="1"/>
  <c r="N43" i="1"/>
  <c r="N44" i="1"/>
  <c r="N45" i="1"/>
  <c r="H48" i="1"/>
  <c r="I48" i="1"/>
  <c r="J48" i="1"/>
  <c r="L48" i="1"/>
  <c r="M48" i="1"/>
  <c r="N48" i="1"/>
  <c r="G48" i="1"/>
  <c r="C26" i="1"/>
  <c r="C42" i="1"/>
  <c r="C43" i="1"/>
  <c r="C44" i="1"/>
  <c r="C45" i="1"/>
  <c r="N46" i="1"/>
  <c r="M46" i="1"/>
  <c r="L46" i="1"/>
  <c r="K46" i="1"/>
  <c r="K48" i="1"/>
  <c r="P48" i="1"/>
</calcChain>
</file>

<file path=xl/sharedStrings.xml><?xml version="1.0" encoding="utf-8"?>
<sst xmlns="http://schemas.openxmlformats.org/spreadsheetml/2006/main" count="127" uniqueCount="97">
  <si>
    <t>Type of Product/Intermediate Product</t>
  </si>
  <si>
    <t>Market Level</t>
  </si>
  <si>
    <t>Parameters</t>
  </si>
  <si>
    <t>Useable MJ</t>
  </si>
  <si>
    <t>Infused Products</t>
  </si>
  <si>
    <t>Proportion of MJ in infused products that is bought from oil extractors</t>
  </si>
  <si>
    <t>MJ infused</t>
  </si>
  <si>
    <t>MJ for Oil</t>
  </si>
  <si>
    <t>Cultivation</t>
  </si>
  <si>
    <t>MJ Sold as Useable MJ vs. Infused Product</t>
  </si>
  <si>
    <t>Share of all MJ going to that type of processor</t>
  </si>
  <si>
    <t>Proportion of that production accounted for by vertically integrated processors</t>
  </si>
  <si>
    <t>Divide MJ Production between Vertically Integrated &amp; Independents</t>
  </si>
  <si>
    <t>Cost of marijuana</t>
  </si>
  <si>
    <t>Producers'  selling price</t>
  </si>
  <si>
    <t>Production Integrated with Processor:</t>
  </si>
  <si>
    <t>Excise tax on producer</t>
  </si>
  <si>
    <t>Independent Producers</t>
  </si>
  <si>
    <t>Proportion of production subject to 1st excise tax</t>
  </si>
  <si>
    <t>Resulting producer tax revenue per gram grown</t>
  </si>
  <si>
    <t>Weighted average cost of marijuana used by that processor</t>
  </si>
  <si>
    <t>Oil Extraction &amp; Sale</t>
  </si>
  <si>
    <t>Cost of extracting oil, per gram processed (above and beyond that for useable MJ)</t>
  </si>
  <si>
    <t>Oil Extractor's Markup (%)</t>
  </si>
  <si>
    <t>Selling Price of oils to infused products companies</t>
  </si>
  <si>
    <t>Processing costs per:</t>
  </si>
  <si>
    <t>Type of Product</t>
  </si>
  <si>
    <t>Useable Marijuana</t>
  </si>
  <si>
    <t>Final Goods Processors</t>
  </si>
  <si>
    <t xml:space="preserve">gram of Useable MJ </t>
  </si>
  <si>
    <t>Weighted average cost of all materials (MJ &amp; oils)</t>
  </si>
  <si>
    <t>Additional processing cost per gram of MJ in an infused product</t>
  </si>
  <si>
    <t>Processor's total cost of product &amp; processing</t>
  </si>
  <si>
    <t>Type of Brand</t>
  </si>
  <si>
    <t>Standard</t>
  </si>
  <si>
    <t>Prestige</t>
  </si>
  <si>
    <t>Processor Markups by Type of Brand &amp; Product</t>
  </si>
  <si>
    <t>Processor price pre-tax (add markup to processors' cost)</t>
  </si>
  <si>
    <t>Processor excise tax rate</t>
  </si>
  <si>
    <t>Excise tax on processor</t>
  </si>
  <si>
    <t>Price to retailer (Processor price + Excise Tax)</t>
  </si>
  <si>
    <t>% of product sold as Std vs. Prestige brands</t>
  </si>
  <si>
    <t>Processor tax paid per gram grown</t>
  </si>
  <si>
    <t>Proportion of all MJ going into that type of product</t>
  </si>
  <si>
    <t>Retailers</t>
  </si>
  <si>
    <t>Retailer Markup by retailer type</t>
  </si>
  <si>
    <t>Type of Retailer</t>
  </si>
  <si>
    <t>Price</t>
  </si>
  <si>
    <t>Price to retailer (copied from above)</t>
  </si>
  <si>
    <t>Touch</t>
  </si>
  <si>
    <t>Retailer markup (from table at left)</t>
  </si>
  <si>
    <t>Retailer price pre-tax</t>
  </si>
  <si>
    <t>Retail excise tax rate</t>
  </si>
  <si>
    <t>Excise tax on retailer</t>
  </si>
  <si>
    <t>Sales tax rate</t>
  </si>
  <si>
    <t>Sales tax</t>
  </si>
  <si>
    <t>Overall Avg</t>
  </si>
  <si>
    <t>Price to Consumer</t>
  </si>
  <si>
    <t>Share of Market</t>
  </si>
  <si>
    <t>Tax Summary</t>
  </si>
  <si>
    <t>Tax Summary, per gram grown</t>
  </si>
  <si>
    <t>Tax Summary (per gram sold, by product, brand, &amp; store type)</t>
  </si>
  <si>
    <t>Producer Excise Tax</t>
  </si>
  <si>
    <t>1st Level Excise Tax</t>
  </si>
  <si>
    <t>Processor Excise Tax</t>
  </si>
  <si>
    <t>2nd Level Excise Tax</t>
  </si>
  <si>
    <t>Retailer Excise Tax</t>
  </si>
  <si>
    <t>3rd Level Excise Tax</t>
  </si>
  <si>
    <t>Sales Tax</t>
  </si>
  <si>
    <t>Total</t>
  </si>
  <si>
    <t>Tax Burden (Taxes' Proportion of Price to Consumer)</t>
  </si>
  <si>
    <t>Products' Proportion of Tax Revenues</t>
  </si>
  <si>
    <t>Bar Graph Labels</t>
  </si>
  <si>
    <t>Std Brand MJ, Price Conscious Store</t>
  </si>
  <si>
    <t>Std Brand MJ, High-Touch Store</t>
  </si>
  <si>
    <t>Prestige Brand MJ, Price Conscious Store</t>
  </si>
  <si>
    <t>Prestige Brand MJ, High-Touch Store</t>
  </si>
  <si>
    <t>Std Brand Infused Product, Price Conscious Store</t>
  </si>
  <si>
    <t>Std Brand Infused Product, High-Touch Store</t>
  </si>
  <si>
    <t>Prestige Brand Infused Product, Price Conscious Store</t>
  </si>
  <si>
    <t>Prestige Brand Infused Product, High-Touch Store</t>
  </si>
  <si>
    <t>Production and Processing Costs</t>
  </si>
  <si>
    <t>gram of Useable MJ</t>
  </si>
  <si>
    <t>Additional cost of extracting oil, per gram processed</t>
  </si>
  <si>
    <t>Production &amp; Materials Flow Parameters</t>
  </si>
  <si>
    <t xml:space="preserve">Proportion of production accounted for by vertically integrated </t>
  </si>
  <si>
    <t xml:space="preserve">    processors for MJ used in production of</t>
  </si>
  <si>
    <t>Oils</t>
  </si>
  <si>
    <t>Proportion of MJ-content in infused products that is bought</t>
  </si>
  <si>
    <t xml:space="preserve">    from oil extractors</t>
  </si>
  <si>
    <t>Markups</t>
  </si>
  <si>
    <t>Processor Markup by Type of Product and Brand</t>
  </si>
  <si>
    <t>Standard Brand</t>
  </si>
  <si>
    <t>Prestige Brand</t>
  </si>
  <si>
    <t>Market Share Parameters</t>
  </si>
  <si>
    <t>Proportion of retailers competing on Price vs. Touch</t>
  </si>
  <si>
    <t>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</si>
</sst>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</numFmts>
  <fonts count="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slantDashDot">
        <color auto="1"/>
      </right>
      <top/>
      <bottom style="medium">
        <color auto="1"/>
      </bottom>
      <diagonal/>
    </border>
    <border>
      <left/>
      <right style="slantDashDot">
        <color auto="1"/>
      </right>
      <top style="medium">
        <color auto="1"/>
      </top>
      <bottom/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/>
      <right style="slantDashDot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2" fillId="0" borderId="1" xfId="1" applyFont="1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9" fontId="0" fillId="0" borderId="2" xfId="2" applyFont="1" applyBorder="1" applyAlignment="1">
      <alignment horizontal="center"/>
    </xf>
    <xf numFmtId="165" fontId="0" fillId="0" borderId="2" xfId="0" applyNumberFormat="1" applyBorder="1"/>
    <xf numFmtId="0" fontId="0" fillId="0" borderId="3" xfId="0" applyBorder="1"/>
    <xf numFmtId="9" fontId="0" fillId="0" borderId="4" xfId="2" applyFont="1" applyBorder="1" applyAlignment="1">
      <alignment horizontal="center"/>
    </xf>
    <xf numFmtId="165" fontId="2" fillId="0" borderId="3" xfId="1" applyFont="1" applyBorder="1"/>
    <xf numFmtId="165" fontId="0" fillId="0" borderId="3" xfId="0" applyNumberFormat="1" applyBorder="1"/>
    <xf numFmtId="165" fontId="0" fillId="0" borderId="4" xfId="0" applyNumberFormat="1" applyBorder="1"/>
    <xf numFmtId="0" fontId="0" fillId="0" borderId="3" xfId="0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0" xfId="0" applyNumberFormat="1" applyBorder="1"/>
    <xf numFmtId="0" fontId="0" fillId="0" borderId="0" xfId="0" applyBorder="1"/>
    <xf numFmtId="0" fontId="0" fillId="0" borderId="1" xfId="0" applyBorder="1"/>
    <xf numFmtId="166" fontId="0" fillId="0" borderId="0" xfId="0" applyNumberFormat="1"/>
    <xf numFmtId="0" fontId="0" fillId="0" borderId="2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9" fontId="0" fillId="2" borderId="0" xfId="2" applyFont="1" applyFill="1" applyBorder="1" applyAlignment="1">
      <alignment horizontal="center"/>
    </xf>
    <xf numFmtId="165" fontId="0" fillId="0" borderId="0" xfId="0" applyNumberFormat="1" applyBorder="1"/>
    <xf numFmtId="9" fontId="0" fillId="0" borderId="0" xfId="2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0" fontId="0" fillId="0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10" fontId="0" fillId="0" borderId="1" xfId="0" applyNumberFormat="1" applyBorder="1" applyAlignment="1">
      <alignment horizontal="center"/>
    </xf>
    <xf numFmtId="165" fontId="0" fillId="0" borderId="1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/>
    <xf numFmtId="9" fontId="0" fillId="2" borderId="12" xfId="2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5" xfId="0" applyBorder="1"/>
    <xf numFmtId="165" fontId="2" fillId="2" borderId="0" xfId="1" applyFont="1" applyFill="1" applyBorder="1"/>
    <xf numFmtId="166" fontId="0" fillId="0" borderId="0" xfId="0" applyNumberFormat="1" applyBorder="1"/>
    <xf numFmtId="0" fontId="0" fillId="0" borderId="17" xfId="0" applyBorder="1"/>
    <xf numFmtId="165" fontId="2" fillId="2" borderId="12" xfId="1" applyFont="1" applyFill="1" applyBorder="1"/>
    <xf numFmtId="0" fontId="0" fillId="0" borderId="13" xfId="0" applyBorder="1"/>
    <xf numFmtId="165" fontId="2" fillId="0" borderId="0" xfId="1" applyFont="1" applyBorder="1"/>
    <xf numFmtId="0" fontId="0" fillId="0" borderId="15" xfId="0" applyBorder="1" applyAlignment="1">
      <alignment horizontal="center"/>
    </xf>
    <xf numFmtId="2" fontId="3" fillId="0" borderId="0" xfId="0" applyNumberFormat="1" applyFont="1" applyBorder="1"/>
    <xf numFmtId="0" fontId="0" fillId="0" borderId="15" xfId="0" applyFill="1" applyBorder="1"/>
    <xf numFmtId="166" fontId="0" fillId="0" borderId="17" xfId="0" applyNumberFormat="1" applyBorder="1" applyAlignment="1">
      <alignment horizontal="center"/>
    </xf>
    <xf numFmtId="0" fontId="0" fillId="3" borderId="0" xfId="0" applyFill="1" applyBorder="1"/>
    <xf numFmtId="9" fontId="0" fillId="2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9" fontId="0" fillId="0" borderId="18" xfId="2" applyFont="1" applyBorder="1" applyAlignment="1">
      <alignment horizontal="center"/>
    </xf>
    <xf numFmtId="165" fontId="2" fillId="0" borderId="15" xfId="1" applyFont="1" applyBorder="1"/>
    <xf numFmtId="165" fontId="0" fillId="0" borderId="15" xfId="0" applyNumberFormat="1" applyBorder="1"/>
    <xf numFmtId="165" fontId="0" fillId="0" borderId="18" xfId="0" applyNumberFormat="1" applyBorder="1"/>
    <xf numFmtId="165" fontId="0" fillId="0" borderId="0" xfId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165" fontId="0" fillId="0" borderId="12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6" fontId="0" fillId="0" borderId="1" xfId="2" applyNumberFormat="1" applyFont="1" applyBorder="1" applyAlignment="1">
      <alignment horizontal="center"/>
    </xf>
    <xf numFmtId="166" fontId="0" fillId="0" borderId="17" xfId="2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9" fontId="2" fillId="2" borderId="0" xfId="2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1" xfId="0" applyNumberFormat="1" applyFill="1" applyBorder="1"/>
    <xf numFmtId="0" fontId="0" fillId="0" borderId="9" xfId="0" applyBorder="1" applyAlignment="1">
      <alignment horizontal="center"/>
    </xf>
    <xf numFmtId="0" fontId="0" fillId="0" borderId="3" xfId="0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3" fillId="0" borderId="20" xfId="0" applyFont="1" applyBorder="1"/>
    <xf numFmtId="0" fontId="0" fillId="0" borderId="21" xfId="0" applyBorder="1"/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/>
    <xf numFmtId="0" fontId="3" fillId="0" borderId="23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9" fontId="0" fillId="0" borderId="23" xfId="2" applyFont="1" applyBorder="1" applyAlignment="1">
      <alignment horizontal="center"/>
    </xf>
    <xf numFmtId="165" fontId="2" fillId="0" borderId="21" xfId="1" applyFont="1" applyBorder="1"/>
    <xf numFmtId="165" fontId="0" fillId="0" borderId="21" xfId="0" applyNumberFormat="1" applyBorder="1"/>
    <xf numFmtId="165" fontId="0" fillId="0" borderId="23" xfId="0" applyNumberFormat="1" applyBorder="1"/>
    <xf numFmtId="165" fontId="0" fillId="0" borderId="20" xfId="0" applyNumberFormat="1" applyBorder="1"/>
    <xf numFmtId="165" fontId="0" fillId="0" borderId="19" xfId="0" applyNumberFormat="1" applyBorder="1"/>
    <xf numFmtId="166" fontId="0" fillId="0" borderId="19" xfId="2" applyNumberFormat="1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14" xfId="0" applyFont="1" applyBorder="1"/>
    <xf numFmtId="0" fontId="4" fillId="0" borderId="14" xfId="0" applyFont="1" applyBorder="1"/>
    <xf numFmtId="0" fontId="4" fillId="0" borderId="14" xfId="0" applyFont="1" applyFill="1" applyBorder="1"/>
    <xf numFmtId="2" fontId="4" fillId="0" borderId="14" xfId="0" applyNumberFormat="1" applyFont="1" applyBorder="1"/>
    <xf numFmtId="0" fontId="4" fillId="0" borderId="16" xfId="0" applyFont="1" applyBorder="1"/>
    <xf numFmtId="0" fontId="4" fillId="0" borderId="0" xfId="0" applyFont="1" applyBorder="1"/>
    <xf numFmtId="0" fontId="4" fillId="0" borderId="11" xfId="0" applyFont="1" applyBorder="1"/>
    <xf numFmtId="2" fontId="5" fillId="0" borderId="14" xfId="0" applyNumberFormat="1" applyFont="1" applyBorder="1"/>
    <xf numFmtId="2" fontId="5" fillId="0" borderId="14" xfId="0" applyNumberFormat="1" applyFont="1" applyFill="1" applyBorder="1"/>
    <xf numFmtId="2" fontId="5" fillId="0" borderId="16" xfId="0" applyNumberFormat="1" applyFont="1" applyFill="1" applyBorder="1"/>
    <xf numFmtId="166" fontId="0" fillId="0" borderId="0" xfId="2" applyNumberFormat="1" applyFont="1" applyBorder="1" applyAlignment="1">
      <alignment horizontal="center"/>
    </xf>
    <xf numFmtId="10" fontId="0" fillId="2" borderId="0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</a:t>
            </a:r>
            <a:r>
              <a:rPr lang="en-US"/>
              <a:t>ax, per gram grown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'Richer Model'!$C$40</c:f>
              <c:strCache>
                <c:ptCount val="1"/>
                <c:pt idx="0">
                  <c:v>Tax Summary, per gram grown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'Richer Model'!$D$41:$D$44</c:f>
              <c:strCache>
                <c:ptCount val="4"/>
                <c:pt idx="0">
                  <c:v>Producer Excise Tax</c:v>
                </c:pt>
                <c:pt idx="1">
                  <c:v>Processor Excise Tax</c:v>
                </c:pt>
                <c:pt idx="2">
                  <c:v>Retailer Excise Tax</c:v>
                </c:pt>
                <c:pt idx="3">
                  <c:v>Sales Tax</c:v>
                </c:pt>
              </c:strCache>
            </c:strRef>
          </c:cat>
          <c:val>
            <c:numRef>
              <c:f>'Richer Model'!$C$41:$C$44</c:f>
              <c:numCache>
                <c:formatCode>_("$"* #,##0.00_);_("$"* \(#,##0.00\);_("$"* "-"??_);_(@_)</c:formatCode>
                <c:ptCount val="4"/>
                <c:pt idx="0">
                  <c:v>0.19874999999999998</c:v>
                </c:pt>
                <c:pt idx="1">
                  <c:v>1.2934749999999999</c:v>
                </c:pt>
                <c:pt idx="2">
                  <c:v>2.3848445312499997</c:v>
                </c:pt>
                <c:pt idx="3">
                  <c:v>1.0433694824218749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2799158666810508E-2"/>
          <c:y val="0.10223570414353904"/>
          <c:w val="0.9321323481825049"/>
          <c:h val="0.71395871715737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'Richer Model'!$F$46</c:f>
              <c:strCache>
                <c:ptCount val="1"/>
                <c:pt idx="0">
                  <c:v>Tax Burden (Taxes' Proportion of Price to Consumer)</c:v>
                </c:pt>
              </c:strCache>
            </c:strRef>
          </c:tx>
          <c:invertIfNegative val="0"/>
          <c:cat>
            <c:strRef>
              <c:f>'Richer Model'!$G$54:$N$54</c:f>
              <c:strCache>
                <c:ptCount val="8"/>
                <c:pt idx="0">
                  <c:v>Std Brand MJ, Price Conscious Store</c:v>
                </c:pt>
                <c:pt idx="1">
                  <c:v>Std Brand MJ, High-Touch Store</c:v>
                </c:pt>
                <c:pt idx="2">
                  <c:v>Prestige Brand MJ, Price Conscious Store</c:v>
                </c:pt>
                <c:pt idx="3">
                  <c:v>Prestige Brand MJ, High-Touch Store</c:v>
                </c:pt>
                <c:pt idx="4">
                  <c:v>Std Brand Infused Product, Price Conscious Store</c:v>
                </c:pt>
                <c:pt idx="5">
                  <c:v>Std Brand Infused Product, High-Touch Store</c:v>
                </c:pt>
                <c:pt idx="6">
                  <c:v>Prestige Brand Infused Product, Price Conscious Store</c:v>
                </c:pt>
                <c:pt idx="7">
                  <c:v>Prestige Brand Infused Product, High-Touch Store</c:v>
                </c:pt>
              </c:strCache>
            </c:strRef>
          </c:cat>
          <c:val>
            <c:numRef>
              <c:f>'Richer Model'!$G$46:$N$46</c:f>
              <c:numCache>
                <c:formatCode>0.0%</c:formatCode>
                <c:ptCount val="8"/>
                <c:pt idx="0">
                  <c:v>0.39348202388513215</c:v>
                </c:pt>
                <c:pt idx="1">
                  <c:v>0.34829205115751982</c:v>
                </c:pt>
                <c:pt idx="2">
                  <c:v>0.39120487736320664</c:v>
                </c:pt>
                <c:pt idx="3">
                  <c:v>0.34681190591826822</c:v>
                </c:pt>
                <c:pt idx="4">
                  <c:v>0.40702906801991251</c:v>
                </c:pt>
                <c:pt idx="5">
                  <c:v>0.357097629845127</c:v>
                </c:pt>
                <c:pt idx="6">
                  <c:v>0.40375272693232822</c:v>
                </c:pt>
                <c:pt idx="7">
                  <c:v>0.35496800813819729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315808520"/>
        <c:axId val="315809096"/>
      </c:barChart>
      <c:catAx>
        <c:axId val="315808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15809096"/>
        <c:crosses val="autoZero"/>
        <c:auto val="1"/>
        <c:lblAlgn val="ctr"/>
        <c:lblOffset val="100"/>
        <c:noMultiLvlLbl val="0"/>
      </c:catAx>
      <c:valAx>
        <c:axId val="315809096"/>
        <c:scaling>
          <c:orientation val="minMax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315808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72176343810717E-2"/>
          <c:y val="3.1407410707325008E-2"/>
          <c:w val="0.90772251029596895"/>
          <c:h val="0.794146276269922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'Richer Model'!$F$41</c:f>
              <c:strCache>
                <c:ptCount val="1"/>
                <c:pt idx="0">
                  <c:v>1st Level Excise Tax</c:v>
                </c:pt>
              </c:strCache>
            </c:strRef>
          </c:tx>
          <c:invertIfNegative val="0"/>
          <c:cat>
            <c:strRef>
              <c:f>'Richer Model'!$G$54:$N$54</c:f>
              <c:strCache>
                <c:ptCount val="8"/>
                <c:pt idx="0">
                  <c:v>Std Brand MJ, Price Conscious Store</c:v>
                </c:pt>
                <c:pt idx="1">
                  <c:v>Std Brand MJ, High-Touch Store</c:v>
                </c:pt>
                <c:pt idx="2">
                  <c:v>Prestige Brand MJ, Price Conscious Store</c:v>
                </c:pt>
                <c:pt idx="3">
                  <c:v>Prestige Brand MJ, High-Touch Store</c:v>
                </c:pt>
                <c:pt idx="4">
                  <c:v>Std Brand Infused Product, Price Conscious Store</c:v>
                </c:pt>
                <c:pt idx="5">
                  <c:v>Std Brand Infused Product, High-Touch Store</c:v>
                </c:pt>
                <c:pt idx="6">
                  <c:v>Prestige Brand Infused Product, Price Conscious Store</c:v>
                </c:pt>
                <c:pt idx="7">
                  <c:v>Prestige Brand Infused Product, High-Touch Store</c:v>
                </c:pt>
              </c:strCache>
            </c:strRef>
          </c:cat>
          <c:val>
            <c:numRef>
              <c:f>'Richer Model'!$G$41:$N$41</c:f>
              <c:numCache>
                <c:formatCode>_("$"* #,##0.00_);_("$"* \(#,##0.00\);_("$"* "-"??_);_(@_)</c:formatCode>
                <c:ptCount val="8"/>
                <c:pt idx="0">
                  <c:v>0.14999999999999997</c:v>
                </c:pt>
                <c:pt idx="1">
                  <c:v>0.14999999999999997</c:v>
                </c:pt>
                <c:pt idx="2">
                  <c:v>0.14999999999999997</c:v>
                </c:pt>
                <c:pt idx="3">
                  <c:v>0.14999999999999997</c:v>
                </c:pt>
                <c:pt idx="4">
                  <c:v>0.52499999999999991</c:v>
                </c:pt>
                <c:pt idx="5">
                  <c:v>0.52499999999999991</c:v>
                </c:pt>
                <c:pt idx="6">
                  <c:v>0.52499999999999991</c:v>
                </c:pt>
                <c:pt idx="7">
                  <c:v>0.52499999999999991</c:v>
                </c:pt>
              </c:numCache>
            </c:numRef>
          </c:val>
        </c:ser>
        <c:ser>
          <c:idx val="1"/>
          <c:order val="1"/>
          <c:tx>
            <c:strRef>
              <c:f>'Richer Model'!$F$42</c:f>
              <c:strCache>
                <c:ptCount val="1"/>
                <c:pt idx="0">
                  <c:v>2nd Level Excise Tax</c:v>
                </c:pt>
              </c:strCache>
            </c:strRef>
          </c:tx>
          <c:invertIfNegative val="0"/>
          <c:cat>
            <c:strRef>
              <c:f>'Richer Model'!$G$54:$N$54</c:f>
              <c:strCache>
                <c:ptCount val="8"/>
                <c:pt idx="0">
                  <c:v>Std Brand MJ, Price Conscious Store</c:v>
                </c:pt>
                <c:pt idx="1">
                  <c:v>Std Brand MJ, High-Touch Store</c:v>
                </c:pt>
                <c:pt idx="2">
                  <c:v>Prestige Brand MJ, Price Conscious Store</c:v>
                </c:pt>
                <c:pt idx="3">
                  <c:v>Prestige Brand MJ, High-Touch Store</c:v>
                </c:pt>
                <c:pt idx="4">
                  <c:v>Std Brand Infused Product, Price Conscious Store</c:v>
                </c:pt>
                <c:pt idx="5">
                  <c:v>Std Brand Infused Product, High-Touch Store</c:v>
                </c:pt>
                <c:pt idx="6">
                  <c:v>Prestige Brand Infused Product, Price Conscious Store</c:v>
                </c:pt>
                <c:pt idx="7">
                  <c:v>Prestige Brand Infused Product, High-Touch Store</c:v>
                </c:pt>
              </c:strCache>
            </c:strRef>
          </c:cat>
          <c:val>
            <c:numRef>
              <c:f>'Richer Model'!$G$42:$N$42</c:f>
              <c:numCache>
                <c:formatCode>_("$"* #,##0.00_);_("$"* \(#,##0.00\);_("$"* "-"??_);_(@_)</c:formatCode>
                <c:ptCount val="8"/>
                <c:pt idx="0">
                  <c:v>1.0649999999999999</c:v>
                </c:pt>
                <c:pt idx="1">
                  <c:v>1.0649999999999999</c:v>
                </c:pt>
                <c:pt idx="2">
                  <c:v>1.2424999999999999</c:v>
                </c:pt>
                <c:pt idx="3">
                  <c:v>1.2424999999999999</c:v>
                </c:pt>
                <c:pt idx="4">
                  <c:v>2.0150000000000001</c:v>
                </c:pt>
                <c:pt idx="5">
                  <c:v>2.0150000000000001</c:v>
                </c:pt>
                <c:pt idx="6">
                  <c:v>2.2668749999999998</c:v>
                </c:pt>
                <c:pt idx="7">
                  <c:v>2.2668749999999998</c:v>
                </c:pt>
              </c:numCache>
            </c:numRef>
          </c:val>
        </c:ser>
        <c:ser>
          <c:idx val="2"/>
          <c:order val="2"/>
          <c:tx>
            <c:strRef>
              <c:f>'Richer Model'!$F$43</c:f>
              <c:strCache>
                <c:ptCount val="1"/>
                <c:pt idx="0">
                  <c:v>3rd Level Excise Tax</c:v>
                </c:pt>
              </c:strCache>
            </c:strRef>
          </c:tx>
          <c:invertIfNegative val="0"/>
          <c:cat>
            <c:strRef>
              <c:f>'Richer Model'!$G$54:$N$54</c:f>
              <c:strCache>
                <c:ptCount val="8"/>
                <c:pt idx="0">
                  <c:v>Std Brand MJ, Price Conscious Store</c:v>
                </c:pt>
                <c:pt idx="1">
                  <c:v>Std Brand MJ, High-Touch Store</c:v>
                </c:pt>
                <c:pt idx="2">
                  <c:v>Prestige Brand MJ, Price Conscious Store</c:v>
                </c:pt>
                <c:pt idx="3">
                  <c:v>Prestige Brand MJ, High-Touch Store</c:v>
                </c:pt>
                <c:pt idx="4">
                  <c:v>Std Brand Infused Product, Price Conscious Store</c:v>
                </c:pt>
                <c:pt idx="5">
                  <c:v>Std Brand Infused Product, High-Touch Store</c:v>
                </c:pt>
                <c:pt idx="6">
                  <c:v>Prestige Brand Infused Product, Price Conscious Store</c:v>
                </c:pt>
                <c:pt idx="7">
                  <c:v>Prestige Brand Infused Product, High-Touch Store</c:v>
                </c:pt>
              </c:strCache>
            </c:strRef>
          </c:cat>
          <c:val>
            <c:numRef>
              <c:f>'Richer Model'!$G$43:$N$43</c:f>
              <c:numCache>
                <c:formatCode>_("$"* #,##0.00_);_("$"* \(#,##0.00\);_("$"* "-"??_);_(@_)</c:formatCode>
                <c:ptCount val="8"/>
                <c:pt idx="0">
                  <c:v>1.7306249999999999</c:v>
                </c:pt>
                <c:pt idx="1">
                  <c:v>2.6624999999999996</c:v>
                </c:pt>
                <c:pt idx="2">
                  <c:v>2.0190625</c:v>
                </c:pt>
                <c:pt idx="3">
                  <c:v>3.1062499999999997</c:v>
                </c:pt>
                <c:pt idx="4">
                  <c:v>3.2743750000000005</c:v>
                </c:pt>
                <c:pt idx="5">
                  <c:v>5.0375000000000005</c:v>
                </c:pt>
                <c:pt idx="6">
                  <c:v>3.6836718749999995</c:v>
                </c:pt>
                <c:pt idx="7">
                  <c:v>5.6671874999999989</c:v>
                </c:pt>
              </c:numCache>
            </c:numRef>
          </c:val>
        </c:ser>
        <c:ser>
          <c:idx val="3"/>
          <c:order val="3"/>
          <c:tx>
            <c:strRef>
              <c:f>'Richer Model'!$F$44</c:f>
              <c:strCache>
                <c:ptCount val="1"/>
                <c:pt idx="0">
                  <c:v>Sales Tax</c:v>
                </c:pt>
              </c:strCache>
            </c:strRef>
          </c:tx>
          <c:invertIfNegative val="0"/>
          <c:cat>
            <c:strRef>
              <c:f>'Richer Model'!$G$54:$N$54</c:f>
              <c:strCache>
                <c:ptCount val="8"/>
                <c:pt idx="0">
                  <c:v>Std Brand MJ, Price Conscious Store</c:v>
                </c:pt>
                <c:pt idx="1">
                  <c:v>Std Brand MJ, High-Touch Store</c:v>
                </c:pt>
                <c:pt idx="2">
                  <c:v>Prestige Brand MJ, Price Conscious Store</c:v>
                </c:pt>
                <c:pt idx="3">
                  <c:v>Prestige Brand MJ, High-Touch Store</c:v>
                </c:pt>
                <c:pt idx="4">
                  <c:v>Std Brand Infused Product, Price Conscious Store</c:v>
                </c:pt>
                <c:pt idx="5">
                  <c:v>Std Brand Infused Product, High-Touch Store</c:v>
                </c:pt>
                <c:pt idx="6">
                  <c:v>Prestige Brand Infused Product, Price Conscious Store</c:v>
                </c:pt>
                <c:pt idx="7">
                  <c:v>Prestige Brand Infused Product, High-Touch Store</c:v>
                </c:pt>
              </c:strCache>
            </c:strRef>
          </c:cat>
          <c:val>
            <c:numRef>
              <c:f>'Richer Model'!$G$44:$N$44</c:f>
              <c:numCache>
                <c:formatCode>_("$"* #,##0.00_);_("$"* \(#,##0.00\);_("$"* "-"??_);_(@_)</c:formatCode>
                <c:ptCount val="8"/>
                <c:pt idx="0">
                  <c:v>0.75714843749999994</c:v>
                </c:pt>
                <c:pt idx="1">
                  <c:v>1.1648437499999997</c:v>
                </c:pt>
                <c:pt idx="2">
                  <c:v>0.88333984374999996</c:v>
                </c:pt>
                <c:pt idx="3">
                  <c:v>1.3589843749999997</c:v>
                </c:pt>
                <c:pt idx="4">
                  <c:v>1.4325390625000001</c:v>
                </c:pt>
                <c:pt idx="5">
                  <c:v>2.2039062500000002</c:v>
                </c:pt>
                <c:pt idx="6">
                  <c:v>1.6116064453124996</c:v>
                </c:pt>
                <c:pt idx="7">
                  <c:v>2.4793945312499992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103560"/>
        <c:axId val="320104136"/>
      </c:barChart>
      <c:catAx>
        <c:axId val="320103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20104136"/>
        <c:crosses val="autoZero"/>
        <c:auto val="1"/>
        <c:lblAlgn val="ctr"/>
        <c:lblOffset val="100"/>
        <c:noMultiLvlLbl val="0"/>
      </c:catAx>
      <c:valAx>
        <c:axId val="320104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20103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993235601647406"/>
          <c:y val="0.18835692568132004"/>
          <c:w val="0.21251739046422907"/>
          <c:h val="0.23905060107382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49</xdr:row>
      <xdr:rowOff>114300</xdr:rowOff>
    </xdr:from>
    <xdr:to>
      <xdr:col>4</xdr:col>
      <xdr:colOff>285750</xdr:colOff>
      <xdr:row>70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2333625</xdr:colOff>
      <xdr:row>49</xdr:row>
      <xdr:rowOff>95250</xdr:rowOff>
    </xdr:from>
    <xdr:to>
      <xdr:col>13</xdr:col>
      <xdr:colOff>657225</xdr:colOff>
      <xdr:row>72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2228850</xdr:colOff>
      <xdr:row>72</xdr:row>
      <xdr:rowOff>180975</xdr:rowOff>
    </xdr:from>
    <xdr:to>
      <xdr:col>12</xdr:col>
      <xdr:colOff>361950</xdr:colOff>
      <xdr:row>94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36" zoomScale="60" zoomScaleNormal="60" zoomScalePageLayoutView="60" workbookViewId="0">
      <selection activeCell="S70" sqref="S70"/>
    </sheetView>
  </sheetViews>
  <sheetFormatPr defaultColWidth="11.125" defaultRowHeight="18.75"/>
  <cols>
    <col min="1" max="1" width="16.875" style="145" customWidth="1"/>
    <col min="2" max="2" width="7.375" customWidth="1"/>
    <col min="3" max="3" width="10.125" customWidth="1"/>
    <col min="4" max="4" width="45.375" customWidth="1"/>
    <col min="5" max="5" width="4.375" customWidth="1"/>
    <col min="6" max="6" width="62.375" customWidth="1"/>
    <col min="7" max="10" width="11.625" customWidth="1"/>
    <col min="11" max="11" width="12.5" customWidth="1"/>
    <col min="12" max="14" width="11.625" customWidth="1"/>
  </cols>
  <sheetData>
    <row r="1" spans="1:15">
      <c r="J1" s="53" t="s">
        <v>0</v>
      </c>
    </row>
    <row r="2" spans="1:15" ht="19.5" thickBot="1">
      <c r="A2" s="146" t="s">
        <v>1</v>
      </c>
      <c r="B2" s="25"/>
      <c r="C2" s="1" t="s">
        <v>2</v>
      </c>
      <c r="D2" s="25"/>
      <c r="E2" s="25"/>
      <c r="F2" s="93"/>
      <c r="G2" s="2" t="s">
        <v>3</v>
      </c>
      <c r="H2" s="1"/>
      <c r="I2" s="2"/>
      <c r="J2" s="122"/>
      <c r="K2" s="92" t="s">
        <v>4</v>
      </c>
      <c r="L2" s="21"/>
      <c r="M2" s="21"/>
      <c r="N2" s="22"/>
    </row>
    <row r="3" spans="1:15">
      <c r="A3" s="147"/>
      <c r="B3" s="59"/>
      <c r="C3" s="60">
        <v>0.25</v>
      </c>
      <c r="D3" s="61" t="s">
        <v>5</v>
      </c>
      <c r="E3" s="61"/>
      <c r="F3" s="118"/>
      <c r="G3" s="63"/>
      <c r="H3" s="64"/>
      <c r="I3" s="63"/>
      <c r="J3" s="123"/>
      <c r="K3" s="103" t="s">
        <v>6</v>
      </c>
      <c r="L3" s="63" t="s">
        <v>7</v>
      </c>
      <c r="M3" s="62"/>
      <c r="N3" s="65"/>
    </row>
    <row r="4" spans="1:15">
      <c r="A4" s="148" t="s">
        <v>8</v>
      </c>
      <c r="B4" s="24"/>
      <c r="C4" s="42">
        <v>0.8</v>
      </c>
      <c r="D4" s="24" t="s">
        <v>9</v>
      </c>
      <c r="E4" s="24"/>
      <c r="F4" s="16" t="s">
        <v>10</v>
      </c>
      <c r="G4" s="66">
        <f>C4</f>
        <v>0.8</v>
      </c>
      <c r="H4" s="24"/>
      <c r="I4" s="24"/>
      <c r="J4" s="124"/>
      <c r="K4" s="66">
        <f>(1-C3)*(1-G4)</f>
        <v>0.14999999999999997</v>
      </c>
      <c r="L4" s="66">
        <f>C3*(1-G4)</f>
        <v>4.9999999999999989E-2</v>
      </c>
      <c r="M4" s="37"/>
      <c r="N4" s="67"/>
    </row>
    <row r="5" spans="1:15">
      <c r="A5" s="149"/>
      <c r="B5" s="24"/>
      <c r="C5" s="24"/>
      <c r="D5" s="24"/>
      <c r="E5" s="24"/>
      <c r="F5" s="16" t="s">
        <v>11</v>
      </c>
      <c r="G5" s="42">
        <v>0.8</v>
      </c>
      <c r="H5" s="24"/>
      <c r="I5" s="24"/>
      <c r="J5" s="125"/>
      <c r="K5" s="42">
        <v>0.3</v>
      </c>
      <c r="L5" s="42">
        <v>0</v>
      </c>
      <c r="M5" s="37"/>
      <c r="N5" s="67"/>
    </row>
    <row r="6" spans="1:15" s="8" customFormat="1">
      <c r="A6" s="150"/>
      <c r="B6" s="47"/>
      <c r="C6" s="47"/>
      <c r="D6" s="47"/>
      <c r="E6" s="47"/>
      <c r="F6" s="119"/>
      <c r="G6" s="44"/>
      <c r="H6" s="47"/>
      <c r="I6" s="47"/>
      <c r="J6" s="126"/>
      <c r="K6" s="44"/>
      <c r="L6" s="44"/>
      <c r="M6" s="70"/>
      <c r="N6" s="71"/>
    </row>
    <row r="7" spans="1:15">
      <c r="A7" s="149"/>
      <c r="B7" s="24"/>
      <c r="C7" s="24"/>
      <c r="D7" s="24"/>
      <c r="E7" s="24"/>
      <c r="F7" s="28" t="s">
        <v>12</v>
      </c>
      <c r="G7" s="29" t="str">
        <f>G2</f>
        <v>Useable MJ</v>
      </c>
      <c r="H7" s="30"/>
      <c r="I7" s="30"/>
      <c r="J7" s="127"/>
      <c r="K7" s="31" t="str">
        <f>K3</f>
        <v>MJ infused</v>
      </c>
      <c r="L7" s="31" t="str">
        <f>L3</f>
        <v>MJ for Oil</v>
      </c>
      <c r="M7" s="24"/>
      <c r="N7" s="120" t="s">
        <v>13</v>
      </c>
    </row>
    <row r="8" spans="1:15">
      <c r="A8" s="149"/>
      <c r="B8" s="24"/>
      <c r="C8" s="73">
        <v>3</v>
      </c>
      <c r="D8" s="24" t="s">
        <v>14</v>
      </c>
      <c r="E8" s="24"/>
      <c r="F8" s="33" t="s">
        <v>15</v>
      </c>
      <c r="G8" s="34">
        <f>G4*G5</f>
        <v>0.64000000000000012</v>
      </c>
      <c r="H8" s="27"/>
      <c r="I8" s="27"/>
      <c r="J8" s="128"/>
      <c r="K8" s="35">
        <f>K4*K5</f>
        <v>4.4999999999999991E-2</v>
      </c>
      <c r="L8" s="35">
        <f>L4*L5</f>
        <v>0</v>
      </c>
      <c r="M8" s="24"/>
      <c r="N8" s="89">
        <f>$C8</f>
        <v>3</v>
      </c>
      <c r="O8" s="6"/>
    </row>
    <row r="9" spans="1:15">
      <c r="A9" s="151"/>
      <c r="B9" s="24"/>
      <c r="C9" s="42">
        <v>0.25</v>
      </c>
      <c r="D9" s="23" t="s">
        <v>16</v>
      </c>
      <c r="E9" s="23"/>
      <c r="F9" s="33" t="s">
        <v>17</v>
      </c>
      <c r="G9" s="34">
        <f>G4*(1-G5)</f>
        <v>0.15999999999999998</v>
      </c>
      <c r="H9" s="27"/>
      <c r="I9" s="27"/>
      <c r="J9" s="128"/>
      <c r="K9" s="35">
        <f>K4*(1-K5)</f>
        <v>0.10499999999999997</v>
      </c>
      <c r="L9" s="35">
        <f>L4*(1-L5)</f>
        <v>4.9999999999999989E-2</v>
      </c>
      <c r="M9" s="24"/>
      <c r="N9" s="89">
        <f>$C8*(1+$C9)</f>
        <v>3.75</v>
      </c>
    </row>
    <row r="10" spans="1:15">
      <c r="A10" s="149"/>
      <c r="B10" s="24"/>
      <c r="C10" s="74">
        <f>SUM(G9:K9)</f>
        <v>0.26499999999999996</v>
      </c>
      <c r="D10" s="24" t="s">
        <v>18</v>
      </c>
      <c r="E10" s="24"/>
      <c r="F10" s="11"/>
      <c r="G10" s="24"/>
      <c r="H10" s="24"/>
      <c r="I10" s="24"/>
      <c r="J10" s="125"/>
      <c r="K10" s="24"/>
      <c r="L10" s="24"/>
      <c r="M10" s="24"/>
      <c r="N10" s="72"/>
    </row>
    <row r="11" spans="1:15" ht="19.5" thickBot="1">
      <c r="A11" s="152"/>
      <c r="B11" s="25"/>
      <c r="C11" s="4">
        <f>PRODUCT(C8:C10)</f>
        <v>0.19874999999999998</v>
      </c>
      <c r="D11" s="25" t="s">
        <v>19</v>
      </c>
      <c r="E11" s="25"/>
      <c r="F11" s="102" t="s">
        <v>20</v>
      </c>
      <c r="G11" s="5">
        <f>SUMPRODUCT(G8:G9,$N8:$N9)/SUM(G8:G9)</f>
        <v>3.1500000000000004</v>
      </c>
      <c r="H11" s="25"/>
      <c r="I11" s="25"/>
      <c r="J11" s="129"/>
      <c r="K11" s="5">
        <f>SUMPRODUCT(K8:K9,$N8:$N9)/SUM(K8:K9)</f>
        <v>3.5249999999999995</v>
      </c>
      <c r="L11" s="5">
        <f>SUMPRODUCT(L8:L9,$N8:$N9)/SUM(L8:L9)</f>
        <v>3.7499999999999996</v>
      </c>
      <c r="M11" s="25"/>
      <c r="N11" s="75"/>
    </row>
    <row r="12" spans="1:15" ht="19.5" thickBot="1">
      <c r="A12" s="153"/>
      <c r="B12" s="24"/>
      <c r="C12" s="43"/>
      <c r="D12" s="24"/>
      <c r="E12" s="24"/>
      <c r="F12" s="36"/>
      <c r="G12" s="78"/>
      <c r="H12" s="24"/>
      <c r="I12" s="24"/>
      <c r="J12" s="125"/>
      <c r="K12" s="78"/>
      <c r="L12" s="78"/>
      <c r="M12" s="24"/>
      <c r="N12" s="24"/>
    </row>
    <row r="13" spans="1:15">
      <c r="A13" s="147" t="s">
        <v>21</v>
      </c>
      <c r="B13" s="59"/>
      <c r="C13" s="76">
        <v>0.5</v>
      </c>
      <c r="D13" s="61" t="s">
        <v>22</v>
      </c>
      <c r="E13" s="61"/>
      <c r="F13" s="59"/>
      <c r="G13" s="59"/>
      <c r="H13" s="59"/>
      <c r="I13" s="59"/>
      <c r="J13" s="130"/>
      <c r="K13" s="59"/>
      <c r="L13" s="59"/>
      <c r="M13" s="59"/>
      <c r="N13" s="77"/>
    </row>
    <row r="14" spans="1:15" ht="19.5" thickBot="1">
      <c r="A14" s="152"/>
      <c r="B14" s="25"/>
      <c r="C14" s="40">
        <v>0.5</v>
      </c>
      <c r="D14" s="41" t="s">
        <v>23</v>
      </c>
      <c r="E14" s="41"/>
      <c r="F14" s="38" t="s">
        <v>24</v>
      </c>
      <c r="G14" s="25"/>
      <c r="H14" s="25"/>
      <c r="I14" s="25"/>
      <c r="J14" s="129"/>
      <c r="K14" s="25"/>
      <c r="L14" s="117">
        <f>(1+C14)*(L11+C13+C17)</f>
        <v>6.9750000000000005</v>
      </c>
      <c r="M14" s="25"/>
      <c r="N14" s="75"/>
    </row>
    <row r="15" spans="1:15" ht="19.5" thickBot="1">
      <c r="A15" s="153"/>
      <c r="B15" s="24"/>
      <c r="C15" s="44"/>
      <c r="D15" s="58"/>
      <c r="E15" s="58"/>
      <c r="F15" s="36"/>
      <c r="G15" s="24"/>
      <c r="H15" s="24"/>
      <c r="I15" s="43"/>
      <c r="J15" s="125"/>
      <c r="K15" s="24"/>
      <c r="L15" s="24"/>
      <c r="M15" s="24"/>
      <c r="N15" s="24"/>
    </row>
    <row r="16" spans="1:15">
      <c r="A16" s="154"/>
      <c r="B16" s="59"/>
      <c r="C16" s="59"/>
      <c r="D16" s="59" t="s">
        <v>25</v>
      </c>
      <c r="E16" s="59"/>
      <c r="F16" s="94" t="s">
        <v>26</v>
      </c>
      <c r="G16" s="64" t="s">
        <v>27</v>
      </c>
      <c r="H16" s="64"/>
      <c r="I16" s="64"/>
      <c r="J16" s="131"/>
      <c r="K16" s="64" t="s">
        <v>4</v>
      </c>
      <c r="L16" s="59"/>
      <c r="M16" s="59"/>
      <c r="N16" s="77"/>
    </row>
    <row r="17" spans="1:14">
      <c r="A17" s="148" t="s">
        <v>28</v>
      </c>
      <c r="B17" s="24"/>
      <c r="C17" s="73">
        <v>0.4</v>
      </c>
      <c r="D17" s="58" t="s">
        <v>29</v>
      </c>
      <c r="E17" s="58"/>
      <c r="F17" s="16" t="s">
        <v>30</v>
      </c>
      <c r="G17" s="43">
        <f>G11</f>
        <v>3.1500000000000004</v>
      </c>
      <c r="H17" s="24"/>
      <c r="I17" s="24"/>
      <c r="J17" s="125"/>
      <c r="K17" s="43">
        <f>(L4*L14+K4*K11)/SUM(K4:L4)</f>
        <v>4.3874999999999993</v>
      </c>
      <c r="L17" s="24"/>
      <c r="M17" s="24"/>
      <c r="N17" s="72"/>
    </row>
    <row r="18" spans="1:14">
      <c r="A18" s="149"/>
      <c r="B18" s="24"/>
      <c r="C18" s="73">
        <v>0.25</v>
      </c>
      <c r="D18" s="58" t="s">
        <v>31</v>
      </c>
      <c r="E18" s="58"/>
      <c r="F18" s="16" t="s">
        <v>32</v>
      </c>
      <c r="G18" s="43">
        <f>G17+C17</f>
        <v>3.5500000000000003</v>
      </c>
      <c r="H18" s="24"/>
      <c r="I18" s="24"/>
      <c r="J18" s="125"/>
      <c r="K18" s="43">
        <f>K17+C17+C18</f>
        <v>5.0374999999999996</v>
      </c>
      <c r="L18" s="24"/>
      <c r="M18" s="24"/>
      <c r="N18" s="72"/>
    </row>
    <row r="19" spans="1:14">
      <c r="A19" s="149"/>
      <c r="B19" s="24"/>
      <c r="C19" s="24"/>
      <c r="D19" s="24"/>
      <c r="E19" s="24"/>
      <c r="F19" s="11"/>
      <c r="G19" s="24"/>
      <c r="H19" s="24"/>
      <c r="I19" s="24"/>
      <c r="J19" s="132"/>
      <c r="K19" s="24"/>
      <c r="L19" s="24"/>
      <c r="M19" s="24"/>
      <c r="N19" s="72"/>
    </row>
    <row r="20" spans="1:14">
      <c r="A20" s="149"/>
      <c r="B20" s="24"/>
      <c r="C20" s="24"/>
      <c r="D20" s="24"/>
      <c r="E20" s="24"/>
      <c r="F20" s="95" t="s">
        <v>33</v>
      </c>
      <c r="G20" s="53" t="s">
        <v>34</v>
      </c>
      <c r="H20" s="53"/>
      <c r="I20" s="53" t="s">
        <v>35</v>
      </c>
      <c r="J20" s="133"/>
      <c r="K20" s="53" t="s">
        <v>34</v>
      </c>
      <c r="L20" s="53"/>
      <c r="M20" s="53" t="s">
        <v>35</v>
      </c>
      <c r="N20" s="79"/>
    </row>
    <row r="21" spans="1:14">
      <c r="A21" s="149"/>
      <c r="B21" s="24"/>
      <c r="C21" s="24"/>
      <c r="D21" s="24"/>
      <c r="E21" s="24"/>
      <c r="F21" s="16" t="s">
        <v>36</v>
      </c>
      <c r="G21" s="42">
        <v>0.2</v>
      </c>
      <c r="H21" s="37"/>
      <c r="I21" s="42">
        <v>0.4</v>
      </c>
      <c r="J21" s="134"/>
      <c r="K21" s="42">
        <v>0.6</v>
      </c>
      <c r="L21" s="37"/>
      <c r="M21" s="42">
        <v>0.8</v>
      </c>
      <c r="N21" s="79"/>
    </row>
    <row r="22" spans="1:14">
      <c r="A22" s="155"/>
      <c r="B22" s="24"/>
      <c r="C22" s="24"/>
      <c r="D22" s="80"/>
      <c r="E22" s="80"/>
      <c r="F22" s="17" t="s">
        <v>37</v>
      </c>
      <c r="G22" s="43">
        <f>G18*(1+G21)</f>
        <v>4.26</v>
      </c>
      <c r="H22" s="24"/>
      <c r="I22" s="43">
        <f>G18*(1+I21)</f>
        <v>4.97</v>
      </c>
      <c r="J22" s="132"/>
      <c r="K22" s="43">
        <f>K18*(1+K21)</f>
        <v>8.06</v>
      </c>
      <c r="L22" s="24"/>
      <c r="M22" s="43">
        <f>K18*(1+M21)</f>
        <v>9.067499999999999</v>
      </c>
      <c r="N22" s="72"/>
    </row>
    <row r="23" spans="1:14">
      <c r="A23" s="155"/>
      <c r="B23" s="24"/>
      <c r="C23" s="42">
        <v>0.25</v>
      </c>
      <c r="D23" s="23" t="s">
        <v>38</v>
      </c>
      <c r="E23" s="23"/>
      <c r="F23" s="19" t="s">
        <v>39</v>
      </c>
      <c r="G23" s="43">
        <f>$C23*G22</f>
        <v>1.0649999999999999</v>
      </c>
      <c r="H23" s="24"/>
      <c r="I23" s="43">
        <f>$C23*I22</f>
        <v>1.2424999999999999</v>
      </c>
      <c r="J23" s="132"/>
      <c r="K23" s="43">
        <f>$C23*K22</f>
        <v>2.0150000000000001</v>
      </c>
      <c r="L23" s="24"/>
      <c r="M23" s="43">
        <f>$C23*M22</f>
        <v>2.2668749999999998</v>
      </c>
      <c r="N23" s="72"/>
    </row>
    <row r="24" spans="1:14">
      <c r="A24" s="155"/>
      <c r="B24" s="24"/>
      <c r="C24" s="24"/>
      <c r="D24" s="23"/>
      <c r="E24" s="23"/>
      <c r="F24" s="17" t="s">
        <v>40</v>
      </c>
      <c r="G24" s="85">
        <f>SUM(G22:G23)</f>
        <v>5.3249999999999993</v>
      </c>
      <c r="H24" s="24"/>
      <c r="I24" s="43">
        <f>SUM(I22:I23)</f>
        <v>6.2124999999999995</v>
      </c>
      <c r="J24" s="132"/>
      <c r="K24" s="85">
        <f>SUM(K22:K23)</f>
        <v>10.075000000000001</v>
      </c>
      <c r="L24" s="24"/>
      <c r="M24" s="43">
        <f>SUM(M22:M23)</f>
        <v>11.334374999999998</v>
      </c>
      <c r="N24" s="72"/>
    </row>
    <row r="25" spans="1:14" s="8" customFormat="1">
      <c r="A25" s="156"/>
      <c r="B25" s="47"/>
      <c r="C25" s="42">
        <v>0.8</v>
      </c>
      <c r="D25" s="24" t="s">
        <v>41</v>
      </c>
      <c r="E25" s="24"/>
      <c r="F25" s="56"/>
      <c r="G25" s="46"/>
      <c r="H25" s="47"/>
      <c r="I25" s="46"/>
      <c r="J25" s="135"/>
      <c r="K25" s="46"/>
      <c r="L25" s="47"/>
      <c r="M25" s="46"/>
      <c r="N25" s="81"/>
    </row>
    <row r="26" spans="1:14" s="8" customFormat="1" ht="19.5" thickBot="1">
      <c r="A26" s="157"/>
      <c r="B26" s="48"/>
      <c r="C26" s="4">
        <f>SUMPRODUCT(G23:M23,G26:M26)</f>
        <v>1.2934749999999999</v>
      </c>
      <c r="D26" s="49" t="s">
        <v>42</v>
      </c>
      <c r="E26" s="49"/>
      <c r="F26" s="57" t="s">
        <v>43</v>
      </c>
      <c r="G26" s="39">
        <f>C4*C25</f>
        <v>0.64000000000000012</v>
      </c>
      <c r="H26" s="39"/>
      <c r="I26" s="50">
        <f>C4-G26</f>
        <v>0.15999999999999992</v>
      </c>
      <c r="J26" s="129"/>
      <c r="K26" s="39">
        <f>(1-C4)*C25</f>
        <v>0.15999999999999998</v>
      </c>
      <c r="L26" s="39"/>
      <c r="M26" s="50">
        <f>(1-C4)-K26</f>
        <v>3.999999999999998E-2</v>
      </c>
      <c r="N26" s="82"/>
    </row>
    <row r="27" spans="1:14" ht="19.5" thickBot="1">
      <c r="J27" s="132"/>
    </row>
    <row r="28" spans="1:14">
      <c r="A28" s="154"/>
      <c r="B28" s="59"/>
      <c r="C28" s="59"/>
      <c r="D28" s="59"/>
      <c r="E28" s="59"/>
      <c r="F28" s="94" t="s">
        <v>26</v>
      </c>
      <c r="G28" s="64" t="s">
        <v>27</v>
      </c>
      <c r="H28" s="64"/>
      <c r="I28" s="64"/>
      <c r="J28" s="131"/>
      <c r="K28" s="64" t="s">
        <v>4</v>
      </c>
      <c r="L28" s="59"/>
      <c r="M28" s="59"/>
      <c r="N28" s="77"/>
    </row>
    <row r="29" spans="1:14">
      <c r="A29" s="148" t="s">
        <v>44</v>
      </c>
      <c r="B29" s="24"/>
      <c r="C29" s="24"/>
      <c r="D29" s="24"/>
      <c r="E29" s="24"/>
      <c r="F29" s="95" t="s">
        <v>33</v>
      </c>
      <c r="G29" s="53" t="s">
        <v>34</v>
      </c>
      <c r="H29" s="96"/>
      <c r="I29" s="53" t="s">
        <v>35</v>
      </c>
      <c r="J29" s="133"/>
      <c r="K29" s="53" t="s">
        <v>34</v>
      </c>
      <c r="L29" s="96"/>
      <c r="M29" s="53" t="s">
        <v>35</v>
      </c>
      <c r="N29" s="72"/>
    </row>
    <row r="30" spans="1:14">
      <c r="A30" s="149"/>
      <c r="B30" s="24" t="s">
        <v>45</v>
      </c>
      <c r="C30" s="24"/>
      <c r="D30" s="24"/>
      <c r="E30" s="24"/>
      <c r="F30" s="97" t="s">
        <v>46</v>
      </c>
      <c r="G30" s="98" t="str">
        <f>$B31</f>
        <v>Price</v>
      </c>
      <c r="H30" s="99" t="str">
        <f>$B32</f>
        <v>Touch</v>
      </c>
      <c r="I30" s="98" t="str">
        <f>$B31</f>
        <v>Price</v>
      </c>
      <c r="J30" s="136" t="str">
        <f>$B32</f>
        <v>Touch</v>
      </c>
      <c r="K30" s="98" t="str">
        <f>$B31</f>
        <v>Price</v>
      </c>
      <c r="L30" s="99" t="str">
        <f>$B32</f>
        <v>Touch</v>
      </c>
      <c r="M30" s="98" t="str">
        <f>$B31</f>
        <v>Price</v>
      </c>
      <c r="N30" s="100" t="str">
        <f>$B32</f>
        <v>Touch</v>
      </c>
    </row>
    <row r="31" spans="1:14">
      <c r="A31" s="149"/>
      <c r="B31" s="83" t="s">
        <v>47</v>
      </c>
      <c r="C31" s="84">
        <v>0.3</v>
      </c>
      <c r="D31" s="24"/>
      <c r="E31" s="24"/>
      <c r="F31" s="17" t="s">
        <v>48</v>
      </c>
      <c r="G31" s="85">
        <f>G24</f>
        <v>5.3249999999999993</v>
      </c>
      <c r="H31" s="101">
        <f>G31</f>
        <v>5.3249999999999993</v>
      </c>
      <c r="I31" s="85">
        <f>I24</f>
        <v>6.2124999999999995</v>
      </c>
      <c r="J31" s="137">
        <f>I31</f>
        <v>6.2124999999999995</v>
      </c>
      <c r="K31" s="85">
        <f>K24</f>
        <v>10.075000000000001</v>
      </c>
      <c r="L31" s="101">
        <f>K31</f>
        <v>10.075000000000001</v>
      </c>
      <c r="M31" s="85">
        <f>M24</f>
        <v>11.334374999999998</v>
      </c>
      <c r="N31" s="86">
        <f>M31</f>
        <v>11.334374999999998</v>
      </c>
    </row>
    <row r="32" spans="1:14">
      <c r="A32" s="149"/>
      <c r="B32" s="83" t="s">
        <v>49</v>
      </c>
      <c r="C32" s="84">
        <v>1</v>
      </c>
      <c r="D32" s="24"/>
      <c r="E32" s="24"/>
      <c r="F32" s="18" t="s">
        <v>50</v>
      </c>
      <c r="G32" s="9">
        <f t="shared" ref="G32:N32" si="0">VLOOKUP(G30,$B31:$C32,2)</f>
        <v>0.3</v>
      </c>
      <c r="H32" s="12">
        <f t="shared" si="0"/>
        <v>1</v>
      </c>
      <c r="I32" s="9">
        <f t="shared" si="0"/>
        <v>0.3</v>
      </c>
      <c r="J32" s="138">
        <f t="shared" si="0"/>
        <v>1</v>
      </c>
      <c r="K32" s="9">
        <f t="shared" si="0"/>
        <v>0.3</v>
      </c>
      <c r="L32" s="12">
        <f t="shared" si="0"/>
        <v>1</v>
      </c>
      <c r="M32" s="9">
        <f t="shared" si="0"/>
        <v>0.3</v>
      </c>
      <c r="N32" s="87">
        <f t="shared" si="0"/>
        <v>1</v>
      </c>
    </row>
    <row r="33" spans="1:16">
      <c r="A33" s="149"/>
      <c r="B33" s="24"/>
      <c r="C33" s="24"/>
      <c r="D33" s="24"/>
      <c r="E33" s="24"/>
      <c r="F33" s="17" t="s">
        <v>51</v>
      </c>
      <c r="G33" s="78">
        <f>G31*(1+G32)</f>
        <v>6.9224999999999994</v>
      </c>
      <c r="H33" s="13">
        <f t="shared" ref="H33:N33" si="1">H31*(1+H32)</f>
        <v>10.649999999999999</v>
      </c>
      <c r="I33" s="78">
        <f t="shared" si="1"/>
        <v>8.0762499999999999</v>
      </c>
      <c r="J33" s="139">
        <f t="shared" si="1"/>
        <v>12.424999999999999</v>
      </c>
      <c r="K33" s="78">
        <f>K31*(1+K32)</f>
        <v>13.097500000000002</v>
      </c>
      <c r="L33" s="13">
        <f t="shared" si="1"/>
        <v>20.150000000000002</v>
      </c>
      <c r="M33" s="78">
        <f t="shared" si="1"/>
        <v>14.734687499999998</v>
      </c>
      <c r="N33" s="88">
        <f t="shared" si="1"/>
        <v>22.668749999999996</v>
      </c>
    </row>
    <row r="34" spans="1:16">
      <c r="A34" s="151"/>
      <c r="B34" s="24"/>
      <c r="C34" s="42">
        <v>0.25</v>
      </c>
      <c r="D34" s="23" t="s">
        <v>52</v>
      </c>
      <c r="E34" s="23"/>
      <c r="F34" s="19" t="s">
        <v>53</v>
      </c>
      <c r="G34" s="43">
        <f t="shared" ref="G34:N34" si="2">$C34*G33</f>
        <v>1.7306249999999999</v>
      </c>
      <c r="H34" s="14">
        <f t="shared" si="2"/>
        <v>2.6624999999999996</v>
      </c>
      <c r="I34" s="43">
        <f t="shared" si="2"/>
        <v>2.0190625</v>
      </c>
      <c r="J34" s="140">
        <f t="shared" si="2"/>
        <v>3.1062499999999997</v>
      </c>
      <c r="K34" s="43">
        <f t="shared" si="2"/>
        <v>3.2743750000000005</v>
      </c>
      <c r="L34" s="14">
        <f t="shared" si="2"/>
        <v>5.0375000000000005</v>
      </c>
      <c r="M34" s="43">
        <f t="shared" si="2"/>
        <v>3.6836718749999995</v>
      </c>
      <c r="N34" s="89">
        <f t="shared" si="2"/>
        <v>5.6671874999999989</v>
      </c>
    </row>
    <row r="35" spans="1:16">
      <c r="A35" s="151"/>
      <c r="B35" s="24"/>
      <c r="C35" s="159">
        <v>8.7499999999999994E-2</v>
      </c>
      <c r="D35" s="23" t="s">
        <v>54</v>
      </c>
      <c r="E35" s="23"/>
      <c r="F35" s="20" t="s">
        <v>55</v>
      </c>
      <c r="G35" s="10">
        <f t="shared" ref="G35:N35" si="3">$C35*(G33+G34)</f>
        <v>0.75714843749999994</v>
      </c>
      <c r="H35" s="15">
        <f t="shared" si="3"/>
        <v>1.1648437499999997</v>
      </c>
      <c r="I35" s="10">
        <f t="shared" si="3"/>
        <v>0.88333984374999996</v>
      </c>
      <c r="J35" s="141">
        <f t="shared" si="3"/>
        <v>1.3589843749999997</v>
      </c>
      <c r="K35" s="10">
        <f t="shared" si="3"/>
        <v>1.4325390625000001</v>
      </c>
      <c r="L35" s="15">
        <f t="shared" si="3"/>
        <v>2.2039062500000002</v>
      </c>
      <c r="M35" s="10">
        <f t="shared" si="3"/>
        <v>1.6116064453124996</v>
      </c>
      <c r="N35" s="90">
        <f t="shared" si="3"/>
        <v>2.4793945312499992</v>
      </c>
      <c r="P35" t="s">
        <v>56</v>
      </c>
    </row>
    <row r="36" spans="1:16">
      <c r="A36" s="149"/>
      <c r="B36" s="24"/>
      <c r="C36" s="24"/>
      <c r="D36" s="24"/>
      <c r="E36" s="24"/>
      <c r="F36" s="17" t="s">
        <v>57</v>
      </c>
      <c r="G36" s="43">
        <f t="shared" ref="G36:N36" si="4">SUM(G33:G35)</f>
        <v>9.410273437499999</v>
      </c>
      <c r="H36" s="14">
        <f t="shared" si="4"/>
        <v>14.477343749999998</v>
      </c>
      <c r="I36" s="43">
        <f t="shared" si="4"/>
        <v>10.978652343749999</v>
      </c>
      <c r="J36" s="140">
        <f t="shared" si="4"/>
        <v>16.890234374999999</v>
      </c>
      <c r="K36" s="43">
        <f t="shared" si="4"/>
        <v>17.804414062500001</v>
      </c>
      <c r="L36" s="14">
        <f t="shared" si="4"/>
        <v>27.391406250000003</v>
      </c>
      <c r="M36" s="43">
        <f t="shared" si="4"/>
        <v>20.029965820312498</v>
      </c>
      <c r="N36" s="89">
        <f t="shared" si="4"/>
        <v>30.815332031249991</v>
      </c>
      <c r="P36" s="46">
        <f>SUMPRODUCT(G36:N36,G38:N38)</f>
        <v>12.967592138671872</v>
      </c>
    </row>
    <row r="37" spans="1:16">
      <c r="A37" s="149"/>
      <c r="B37" s="24"/>
      <c r="C37" s="52"/>
      <c r="D37" s="24"/>
      <c r="E37" s="24"/>
      <c r="F37" s="11"/>
      <c r="G37" s="24"/>
      <c r="H37" s="11"/>
      <c r="I37" s="24"/>
      <c r="J37" s="132"/>
      <c r="K37" s="24"/>
      <c r="L37" s="11"/>
      <c r="M37" s="24"/>
      <c r="N37" s="72"/>
    </row>
    <row r="38" spans="1:16" ht="19.5" thickBot="1">
      <c r="A38" s="152"/>
      <c r="B38" s="25"/>
      <c r="C38" s="40">
        <v>0.75</v>
      </c>
      <c r="D38" s="25" t="str">
        <f>CONCATENATE("Proportion of retailers competing on ",B31," vs. ",B32)</f>
        <v>Proportion of retailers competing on Price vs. Touch</v>
      </c>
      <c r="E38" s="25"/>
      <c r="F38" s="102" t="s">
        <v>58</v>
      </c>
      <c r="G38" s="39">
        <f>G26*$C38</f>
        <v>0.48000000000000009</v>
      </c>
      <c r="H38" s="55">
        <f>G26*(1-$C38)</f>
        <v>0.16000000000000003</v>
      </c>
      <c r="I38" s="39">
        <f>I26*$C38</f>
        <v>0.11999999999999994</v>
      </c>
      <c r="J38" s="129">
        <f>I26*(1-$C38)</f>
        <v>3.999999999999998E-2</v>
      </c>
      <c r="K38" s="39">
        <f>K26*$C38</f>
        <v>0.11999999999999998</v>
      </c>
      <c r="L38" s="55">
        <f>K26*(1-$C38)</f>
        <v>3.9999999999999994E-2</v>
      </c>
      <c r="M38" s="39">
        <f>M26*$C38</f>
        <v>2.9999999999999985E-2</v>
      </c>
      <c r="N38" s="82">
        <f>M26*(1-$C38)</f>
        <v>9.999999999999995E-3</v>
      </c>
      <c r="O38" s="6"/>
    </row>
    <row r="39" spans="1:16" ht="19.5" thickBot="1">
      <c r="J39" s="132"/>
    </row>
    <row r="40" spans="1:16">
      <c r="A40" s="147" t="s">
        <v>59</v>
      </c>
      <c r="B40" s="59"/>
      <c r="C40" s="64" t="s">
        <v>60</v>
      </c>
      <c r="D40" s="59"/>
      <c r="E40" s="59"/>
      <c r="F40" s="103" t="s">
        <v>61</v>
      </c>
      <c r="G40" s="59"/>
      <c r="H40" s="59"/>
      <c r="I40" s="104"/>
      <c r="J40" s="142"/>
      <c r="K40" s="104"/>
      <c r="L40" s="104"/>
      <c r="M40" s="104"/>
      <c r="N40" s="105"/>
    </row>
    <row r="41" spans="1:16">
      <c r="A41" s="149"/>
      <c r="B41" s="24"/>
      <c r="C41" s="43">
        <f>C11</f>
        <v>0.19874999999999998</v>
      </c>
      <c r="D41" s="24" t="s">
        <v>62</v>
      </c>
      <c r="E41" s="24"/>
      <c r="F41" s="36" t="s">
        <v>63</v>
      </c>
      <c r="G41" s="43">
        <f>C8*C9*G9/SUM(G8:G9)</f>
        <v>0.14999999999999997</v>
      </c>
      <c r="H41" s="43">
        <f>G41</f>
        <v>0.14999999999999997</v>
      </c>
      <c r="I41" s="43">
        <f t="shared" ref="I41:J41" si="5">H41</f>
        <v>0.14999999999999997</v>
      </c>
      <c r="J41" s="140">
        <f t="shared" si="5"/>
        <v>0.14999999999999997</v>
      </c>
      <c r="K41" s="43">
        <f>C8*C9*SUM(I9:K9)/SUM(I8:K9)</f>
        <v>0.52499999999999991</v>
      </c>
      <c r="L41" s="43">
        <f>K41</f>
        <v>0.52499999999999991</v>
      </c>
      <c r="M41" s="43">
        <f t="shared" ref="M41:N41" si="6">L41</f>
        <v>0.52499999999999991</v>
      </c>
      <c r="N41" s="89">
        <f t="shared" si="6"/>
        <v>0.52499999999999991</v>
      </c>
    </row>
    <row r="42" spans="1:16">
      <c r="A42" s="149"/>
      <c r="B42" s="24"/>
      <c r="C42" s="43">
        <f>C26</f>
        <v>1.2934749999999999</v>
      </c>
      <c r="D42" s="24" t="s">
        <v>64</v>
      </c>
      <c r="E42" s="24"/>
      <c r="F42" s="36" t="s">
        <v>65</v>
      </c>
      <c r="G42" s="43">
        <f>G23</f>
        <v>1.0649999999999999</v>
      </c>
      <c r="H42" s="43">
        <f>G42</f>
        <v>1.0649999999999999</v>
      </c>
      <c r="I42" s="43">
        <f>I23</f>
        <v>1.2424999999999999</v>
      </c>
      <c r="J42" s="140">
        <f>I42</f>
        <v>1.2424999999999999</v>
      </c>
      <c r="K42" s="43">
        <f>K23</f>
        <v>2.0150000000000001</v>
      </c>
      <c r="L42" s="43">
        <f>K42</f>
        <v>2.0150000000000001</v>
      </c>
      <c r="M42" s="43">
        <f>M23</f>
        <v>2.2668749999999998</v>
      </c>
      <c r="N42" s="89">
        <f>M42</f>
        <v>2.2668749999999998</v>
      </c>
    </row>
    <row r="43" spans="1:16">
      <c r="A43" s="149"/>
      <c r="B43" s="24"/>
      <c r="C43" s="91">
        <f>SUMPRODUCT(G$38:N$38,G34:N34)</f>
        <v>2.3848445312499997</v>
      </c>
      <c r="D43" s="24" t="s">
        <v>66</v>
      </c>
      <c r="E43" s="24"/>
      <c r="F43" s="36" t="s">
        <v>67</v>
      </c>
      <c r="G43" s="43">
        <f>G34</f>
        <v>1.7306249999999999</v>
      </c>
      <c r="H43" s="43">
        <f t="shared" ref="H43:N43" si="7">H34</f>
        <v>2.6624999999999996</v>
      </c>
      <c r="I43" s="43">
        <f t="shared" si="7"/>
        <v>2.0190625</v>
      </c>
      <c r="J43" s="140">
        <f t="shared" si="7"/>
        <v>3.1062499999999997</v>
      </c>
      <c r="K43" s="43">
        <f t="shared" si="7"/>
        <v>3.2743750000000005</v>
      </c>
      <c r="L43" s="43">
        <f t="shared" si="7"/>
        <v>5.0375000000000005</v>
      </c>
      <c r="M43" s="43">
        <f t="shared" si="7"/>
        <v>3.6836718749999995</v>
      </c>
      <c r="N43" s="89">
        <f t="shared" si="7"/>
        <v>5.6671874999999989</v>
      </c>
    </row>
    <row r="44" spans="1:16" ht="19.5" thickBot="1">
      <c r="A44" s="149"/>
      <c r="B44" s="24"/>
      <c r="C44" s="51">
        <f>SUMPRODUCT(G$38:N$38,G35:N35)</f>
        <v>1.0433694824218749</v>
      </c>
      <c r="D44" s="25" t="s">
        <v>68</v>
      </c>
      <c r="E44" s="47"/>
      <c r="F44" s="38" t="s">
        <v>68</v>
      </c>
      <c r="G44" s="4">
        <f>G35</f>
        <v>0.75714843749999994</v>
      </c>
      <c r="H44" s="4">
        <f t="shared" ref="H44:N44" si="8">H35</f>
        <v>1.1648437499999997</v>
      </c>
      <c r="I44" s="4">
        <f t="shared" si="8"/>
        <v>0.88333984374999996</v>
      </c>
      <c r="J44" s="143">
        <f t="shared" si="8"/>
        <v>1.3589843749999997</v>
      </c>
      <c r="K44" s="4">
        <f t="shared" si="8"/>
        <v>1.4325390625000001</v>
      </c>
      <c r="L44" s="4">
        <f t="shared" si="8"/>
        <v>2.2039062500000002</v>
      </c>
      <c r="M44" s="4">
        <f t="shared" si="8"/>
        <v>1.6116064453124996</v>
      </c>
      <c r="N44" s="106">
        <f t="shared" si="8"/>
        <v>2.4793945312499992</v>
      </c>
    </row>
    <row r="45" spans="1:16">
      <c r="A45" s="149"/>
      <c r="B45" s="24"/>
      <c r="C45" s="43">
        <f>SUM(C41:C44)</f>
        <v>4.9204390136718743</v>
      </c>
      <c r="D45" s="24" t="s">
        <v>69</v>
      </c>
      <c r="E45" s="47"/>
      <c r="F45" s="36" t="s">
        <v>69</v>
      </c>
      <c r="G45" s="43">
        <f>SUM(G41:G44)</f>
        <v>3.7027734374999994</v>
      </c>
      <c r="H45" s="43">
        <f t="shared" ref="H45:N45" si="9">SUM(H41:H44)</f>
        <v>5.0423437499999988</v>
      </c>
      <c r="I45" s="43">
        <f t="shared" si="9"/>
        <v>4.2949023437499996</v>
      </c>
      <c r="J45" s="140">
        <f t="shared" si="9"/>
        <v>5.8577343749999988</v>
      </c>
      <c r="K45" s="43">
        <f t="shared" si="9"/>
        <v>7.2469140625000001</v>
      </c>
      <c r="L45" s="43">
        <f t="shared" si="9"/>
        <v>9.7814062499999999</v>
      </c>
      <c r="M45" s="43">
        <f t="shared" si="9"/>
        <v>8.087153320312499</v>
      </c>
      <c r="N45" s="89">
        <f t="shared" si="9"/>
        <v>10.938457031249998</v>
      </c>
    </row>
    <row r="46" spans="1:16" ht="19.5" thickBot="1">
      <c r="A46" s="152"/>
      <c r="B46" s="25"/>
      <c r="C46" s="25"/>
      <c r="D46" s="25"/>
      <c r="E46" s="25"/>
      <c r="F46" s="38" t="s">
        <v>70</v>
      </c>
      <c r="G46" s="107">
        <f t="shared" ref="G46:N46" si="10">G45/G36</f>
        <v>0.39348202388513215</v>
      </c>
      <c r="H46" s="107">
        <f t="shared" si="10"/>
        <v>0.34829205115751982</v>
      </c>
      <c r="I46" s="107">
        <f t="shared" si="10"/>
        <v>0.39120487736320664</v>
      </c>
      <c r="J46" s="144">
        <f t="shared" si="10"/>
        <v>0.34681190591826822</v>
      </c>
      <c r="K46" s="107">
        <f t="shared" si="10"/>
        <v>0.40702906801991251</v>
      </c>
      <c r="L46" s="107">
        <f t="shared" si="10"/>
        <v>0.357097629845127</v>
      </c>
      <c r="M46" s="107">
        <f t="shared" si="10"/>
        <v>0.40375272693232822</v>
      </c>
      <c r="N46" s="108">
        <f t="shared" si="10"/>
        <v>0.35496800813819729</v>
      </c>
    </row>
    <row r="47" spans="1:16">
      <c r="A47" s="153"/>
      <c r="B47" s="24"/>
      <c r="C47" s="24"/>
      <c r="D47" s="24"/>
      <c r="E47" s="24"/>
      <c r="F47" s="36"/>
      <c r="G47" s="158"/>
      <c r="H47" s="158"/>
      <c r="I47" s="158"/>
      <c r="J47" s="158"/>
      <c r="K47" s="158"/>
      <c r="L47" s="158"/>
      <c r="M47" s="158"/>
      <c r="N47" s="158"/>
    </row>
    <row r="48" spans="1:16">
      <c r="A48" s="153"/>
      <c r="B48" s="24"/>
      <c r="C48" s="24"/>
      <c r="D48" s="24"/>
      <c r="E48" s="24"/>
      <c r="F48" s="36" t="s">
        <v>71</v>
      </c>
      <c r="G48" s="158">
        <f>G45*G38/SUMPRODUCT($G38:$N38,$G45:$N45)</f>
        <v>0.35929714705891852</v>
      </c>
      <c r="H48" s="158">
        <f t="shared" ref="H48:N48" si="11">H45*H38/SUMPRODUCT($G38:$N38,$G45:$N45)</f>
        <v>0.16309393975853345</v>
      </c>
      <c r="I48" s="158">
        <f t="shared" si="11"/>
        <v>0.10418853496258752</v>
      </c>
      <c r="J48" s="158">
        <f t="shared" si="11"/>
        <v>4.7366910341928796E-2</v>
      </c>
      <c r="K48" s="158">
        <f t="shared" si="11"/>
        <v>0.17580035557045925</v>
      </c>
      <c r="L48" s="158">
        <f t="shared" si="11"/>
        <v>7.9094571928542273E-2</v>
      </c>
      <c r="M48" s="158">
        <f t="shared" si="11"/>
        <v>4.9045856519143623E-2</v>
      </c>
      <c r="N48" s="158">
        <f t="shared" si="11"/>
        <v>2.21126838598865E-2</v>
      </c>
      <c r="P48" s="26">
        <f>SUM(K48:N48)</f>
        <v>0.32605346787803169</v>
      </c>
    </row>
    <row r="50" spans="6:14">
      <c r="G50" s="3"/>
    </row>
    <row r="51" spans="6:14">
      <c r="H51" s="3"/>
    </row>
    <row r="52" spans="6:14">
      <c r="H52" s="3"/>
    </row>
    <row r="54" spans="6:14">
      <c r="F54" s="7" t="s">
        <v>72</v>
      </c>
      <c r="G54" t="s">
        <v>73</v>
      </c>
      <c r="H54" t="s">
        <v>74</v>
      </c>
      <c r="I54" t="s">
        <v>75</v>
      </c>
      <c r="J54" t="s">
        <v>76</v>
      </c>
      <c r="K54" t="s">
        <v>77</v>
      </c>
      <c r="L54" t="s">
        <v>78</v>
      </c>
      <c r="M54" t="s">
        <v>79</v>
      </c>
      <c r="N54" t="s">
        <v>80</v>
      </c>
    </row>
  </sheetData>
  <pageMargins left="0" right="0" top="0.25" bottom="0.25" header="0.5" footer="0.5"/>
  <pageSetup paperSize="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90" zoomScaleNormal="90" zoomScalePageLayoutView="90" workbookViewId="0">
      <selection activeCell="D31" sqref="D31"/>
    </sheetView>
  </sheetViews>
  <sheetFormatPr defaultColWidth="11.125" defaultRowHeight="15.75"/>
  <cols>
    <col min="1" max="4" width="17.375" style="24" customWidth="1"/>
    <col min="5" max="8" width="13.5" style="24" customWidth="1"/>
    <col min="9" max="10" width="11.625" style="24" customWidth="1"/>
    <col min="11" max="16384" width="11.125" style="24"/>
  </cols>
  <sheetData>
    <row r="1" spans="1:10">
      <c r="A1" s="52" t="s">
        <v>81</v>
      </c>
    </row>
    <row r="2" spans="1:10">
      <c r="A2" s="73">
        <v>3</v>
      </c>
      <c r="B2" s="24" t="s">
        <v>14</v>
      </c>
    </row>
    <row r="3" spans="1:10">
      <c r="B3" s="24" t="s">
        <v>25</v>
      </c>
    </row>
    <row r="4" spans="1:10">
      <c r="A4" s="73">
        <v>0.4</v>
      </c>
      <c r="B4" s="58" t="s">
        <v>82</v>
      </c>
    </row>
    <row r="5" spans="1:10">
      <c r="A5" s="73">
        <v>0.25</v>
      </c>
      <c r="B5" s="58" t="s">
        <v>31</v>
      </c>
    </row>
    <row r="6" spans="1:10">
      <c r="A6" s="73">
        <v>0.5</v>
      </c>
      <c r="B6" s="58" t="s">
        <v>83</v>
      </c>
    </row>
    <row r="8" spans="1:10">
      <c r="A8" s="52" t="s">
        <v>84</v>
      </c>
      <c r="H8" s="37"/>
      <c r="I8" s="37"/>
      <c r="J8" s="54"/>
    </row>
    <row r="9" spans="1:10">
      <c r="A9" s="116" t="s">
        <v>85</v>
      </c>
      <c r="D9" s="112"/>
      <c r="E9" s="113"/>
      <c r="F9" s="53"/>
      <c r="G9" s="53"/>
      <c r="H9" s="37"/>
      <c r="I9" s="37"/>
      <c r="J9" s="54"/>
    </row>
    <row r="10" spans="1:10">
      <c r="A10" s="112" t="s">
        <v>86</v>
      </c>
      <c r="D10" s="112"/>
      <c r="E10" s="113"/>
      <c r="F10" s="53"/>
      <c r="G10" s="53"/>
      <c r="H10" s="37"/>
      <c r="I10" s="37"/>
      <c r="J10" s="54"/>
    </row>
    <row r="11" spans="1:10">
      <c r="A11" s="42">
        <v>0.8</v>
      </c>
      <c r="B11" s="116" t="s">
        <v>3</v>
      </c>
      <c r="D11" s="112"/>
      <c r="E11" s="112"/>
      <c r="F11" s="53"/>
      <c r="H11" s="37"/>
      <c r="I11" s="37"/>
      <c r="J11" s="54"/>
    </row>
    <row r="12" spans="1:10">
      <c r="A12" s="42">
        <v>0</v>
      </c>
      <c r="B12" s="116" t="s">
        <v>87</v>
      </c>
      <c r="F12" s="32"/>
      <c r="H12" s="37"/>
      <c r="I12" s="37"/>
      <c r="J12" s="54"/>
    </row>
    <row r="13" spans="1:10" s="47" customFormat="1">
      <c r="A13" s="42">
        <v>0.3</v>
      </c>
      <c r="B13" s="116" t="s">
        <v>4</v>
      </c>
      <c r="F13" s="69"/>
      <c r="G13" s="44"/>
      <c r="H13" s="70"/>
      <c r="I13" s="70"/>
      <c r="J13" s="109"/>
    </row>
    <row r="15" spans="1:10">
      <c r="A15" s="42">
        <v>0.25</v>
      </c>
      <c r="B15" s="58" t="s">
        <v>88</v>
      </c>
    </row>
    <row r="16" spans="1:10">
      <c r="B16" s="121" t="s">
        <v>89</v>
      </c>
      <c r="C16" s="58"/>
      <c r="D16" s="58"/>
    </row>
    <row r="17" spans="1:10">
      <c r="A17" s="52" t="s">
        <v>90</v>
      </c>
    </row>
    <row r="18" spans="1:10">
      <c r="A18" s="42">
        <v>0.5</v>
      </c>
      <c r="B18" s="58" t="s">
        <v>23</v>
      </c>
    </row>
    <row r="20" spans="1:10">
      <c r="A20" s="110" t="s">
        <v>91</v>
      </c>
      <c r="B20" s="111"/>
      <c r="C20" s="112"/>
      <c r="J20" s="37"/>
    </row>
    <row r="21" spans="1:10">
      <c r="A21" s="111"/>
      <c r="B21" s="113" t="s">
        <v>27</v>
      </c>
      <c r="C21" s="113" t="s">
        <v>4</v>
      </c>
      <c r="E21" s="45"/>
      <c r="F21" s="45"/>
      <c r="G21" s="45"/>
      <c r="H21" s="45"/>
      <c r="I21" s="45"/>
      <c r="J21" s="45"/>
    </row>
    <row r="22" spans="1:10">
      <c r="A22" s="115" t="s">
        <v>92</v>
      </c>
      <c r="B22" s="114">
        <v>0.2</v>
      </c>
      <c r="C22" s="114">
        <v>0.6</v>
      </c>
      <c r="E22" s="45"/>
      <c r="F22" s="45"/>
      <c r="G22" s="45"/>
      <c r="H22" s="45"/>
      <c r="I22" s="45"/>
      <c r="J22" s="45"/>
    </row>
    <row r="23" spans="1:10">
      <c r="A23" s="115" t="s">
        <v>93</v>
      </c>
      <c r="B23" s="114">
        <v>0.4</v>
      </c>
      <c r="C23" s="114">
        <v>0.8</v>
      </c>
      <c r="F23" s="45"/>
      <c r="G23" s="45"/>
      <c r="H23" s="45"/>
      <c r="I23" s="45"/>
      <c r="J23" s="45"/>
    </row>
    <row r="24" spans="1:10">
      <c r="A24" s="113"/>
      <c r="B24" s="45"/>
      <c r="C24" s="45"/>
      <c r="F24" s="45"/>
      <c r="G24" s="45"/>
      <c r="H24" s="45"/>
      <c r="I24" s="45"/>
      <c r="J24" s="45"/>
    </row>
    <row r="25" spans="1:10">
      <c r="F25" s="45"/>
      <c r="G25" s="45"/>
      <c r="H25" s="45"/>
      <c r="I25" s="45"/>
      <c r="J25" s="45"/>
    </row>
    <row r="26" spans="1:10">
      <c r="A26" s="24" t="s">
        <v>45</v>
      </c>
      <c r="F26" s="45"/>
      <c r="G26" s="45"/>
      <c r="H26" s="45"/>
      <c r="I26" s="45"/>
      <c r="J26" s="45"/>
    </row>
    <row r="27" spans="1:10">
      <c r="A27" s="68" t="s">
        <v>47</v>
      </c>
      <c r="B27" s="84">
        <v>0.3</v>
      </c>
      <c r="F27" s="45"/>
      <c r="G27" s="45"/>
      <c r="H27" s="45"/>
      <c r="I27" s="45"/>
      <c r="J27" s="45"/>
    </row>
    <row r="28" spans="1:10">
      <c r="A28" s="68" t="s">
        <v>49</v>
      </c>
      <c r="B28" s="84">
        <v>1</v>
      </c>
      <c r="C28" s="45"/>
      <c r="E28" s="45"/>
      <c r="F28" s="45"/>
      <c r="G28" s="45"/>
      <c r="H28" s="45"/>
      <c r="I28" s="45"/>
      <c r="J28" s="45"/>
    </row>
    <row r="29" spans="1:10">
      <c r="C29" s="45"/>
      <c r="D29" s="45"/>
      <c r="E29" s="45"/>
      <c r="F29" s="45"/>
      <c r="G29" s="45"/>
      <c r="H29" s="45"/>
      <c r="I29" s="45"/>
      <c r="J29" s="45"/>
    </row>
    <row r="30" spans="1:10">
      <c r="A30" s="52" t="s">
        <v>94</v>
      </c>
    </row>
    <row r="31" spans="1:10">
      <c r="A31" s="42">
        <v>0.8</v>
      </c>
      <c r="B31" s="24" t="s">
        <v>9</v>
      </c>
    </row>
    <row r="32" spans="1:10">
      <c r="A32" s="42">
        <v>0.8</v>
      </c>
      <c r="B32" s="24" t="s">
        <v>41</v>
      </c>
    </row>
    <row r="33" spans="1:2">
      <c r="A33" s="42">
        <v>0.75</v>
      </c>
      <c r="B33" s="24" t="s">
        <v>95</v>
      </c>
    </row>
    <row r="35" spans="1:2">
      <c r="A35" s="52" t="s">
        <v>96</v>
      </c>
    </row>
    <row r="36" spans="1:2">
      <c r="A36" s="42">
        <v>0.25</v>
      </c>
      <c r="B36" s="23" t="s">
        <v>16</v>
      </c>
    </row>
    <row r="37" spans="1:2">
      <c r="A37" s="42">
        <v>0.25</v>
      </c>
      <c r="B37" s="23" t="s">
        <v>38</v>
      </c>
    </row>
    <row r="38" spans="1:2">
      <c r="A38" s="42">
        <v>0.25</v>
      </c>
      <c r="B38" s="23" t="s">
        <v>52</v>
      </c>
    </row>
    <row r="39" spans="1:2">
      <c r="A39" s="159">
        <v>8.7499999999999994E-2</v>
      </c>
      <c r="B39" s="23" t="s">
        <v>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F88A195B9A5428565174CD6D6040D" ma:contentTypeVersion="0" ma:contentTypeDescription="Create a new document." ma:contentTypeScope="" ma:versionID="c2dbd612e94db973d3938dd5350eef05">
  <xsd:schema xmlns:xsd="http://www.w3.org/2001/XMLSchema" xmlns:xs="http://www.w3.org/2001/XMLSchema" xmlns:p="http://schemas.microsoft.com/office/2006/metadata/properties" xmlns:ns2="81a05ce1-4303-4c33-b2f4-c281648b1ded" targetNamespace="http://schemas.microsoft.com/office/2006/metadata/properties" ma:root="true" ma:fieldsID="6ee25ddd0053a471df5ed479292ba4f7" ns2:_="">
    <xsd:import namespace="81a05ce1-4303-4c33-b2f4-c281648b1d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05ce1-4303-4c33-b2f4-c281648b1de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a05ce1-4303-4c33-b2f4-c281648b1ded">4YPXPQJKJZPD-171-10</_dlc_DocId>
    <_dlc_DocIdUrl xmlns="81a05ce1-4303-4c33-b2f4-c281648b1ded">
      <Url>http://iww/div/ads/I-502/_layouts/DocIdRedir.aspx?ID=4YPXPQJKJZPD-171-10</Url>
      <Description>4YPXPQJKJZPD-171-10</Description>
    </_dlc_DocIdUrl>
  </documentManagement>
</p:properties>
</file>

<file path=customXml/itemProps1.xml><?xml version="1.0" encoding="utf-8"?>
<ds:datastoreItem xmlns:ds="http://schemas.openxmlformats.org/officeDocument/2006/customXml" ds:itemID="{48E9A919-3C42-4DD1-A0DF-54077C7C70E0}"/>
</file>

<file path=customXml/itemProps2.xml><?xml version="1.0" encoding="utf-8"?>
<ds:datastoreItem xmlns:ds="http://schemas.openxmlformats.org/officeDocument/2006/customXml" ds:itemID="{78F6B667-97ED-4DD2-8CA2-50AB38025711}"/>
</file>

<file path=customXml/itemProps3.xml><?xml version="1.0" encoding="utf-8"?>
<ds:datastoreItem xmlns:ds="http://schemas.openxmlformats.org/officeDocument/2006/customXml" ds:itemID="{24AEA2EA-04DE-49FE-9D94-C37BB47A18E7}"/>
</file>

<file path=customXml/itemProps4.xml><?xml version="1.0" encoding="utf-8"?>
<ds:datastoreItem xmlns:ds="http://schemas.openxmlformats.org/officeDocument/2006/customXml" ds:itemID="{150C5D6D-AD53-4EF7-BA82-E737509F8B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Caulkins</dc:creator>
  <cp:lastModifiedBy>Profiler</cp:lastModifiedBy>
  <cp:lastPrinted>2013-07-01T20:53:18Z</cp:lastPrinted>
  <dcterms:created xsi:type="dcterms:W3CDTF">2013-05-21T18:42:23Z</dcterms:created>
  <dcterms:modified xsi:type="dcterms:W3CDTF">2013-07-01T20:54:50Z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0x01010060EF88A195B9A5428565174CD6D6040D</vt:lpwstr>
  </property>
  <property fmtid="{D5CDD505-2E9C-101B-9397-08002B2CF9AE}" pid="3" name="_dlc_DocIdItemGuid">
    <vt:lpwstr>3b44f151-41d3-4e4c-b975-13418a176140</vt:lpwstr>
  </property>
</Properties>
</file>